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830" yWindow="0" windowWidth="4350" windowHeight="2760"/>
  </bookViews>
  <sheets>
    <sheet name="Input" sheetId="3" r:id="rId1"/>
    <sheet name="data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2" l="1"/>
  <c r="F16" i="2"/>
  <c r="F14" i="2" l="1"/>
  <c r="F13" i="2"/>
  <c r="F12" i="2"/>
  <c r="C2" i="3"/>
  <c r="F11" i="2" l="1"/>
  <c r="F10" i="2"/>
  <c r="F9" i="2"/>
  <c r="F8" i="2"/>
  <c r="I27" i="2" l="1"/>
  <c r="I28" i="2" s="1"/>
  <c r="B35" i="3" s="1"/>
  <c r="G27" i="2"/>
  <c r="G28" i="2" s="1"/>
  <c r="B33" i="3" s="1"/>
  <c r="H27" i="2"/>
  <c r="H28" i="2" s="1"/>
  <c r="B34" i="3" s="1"/>
  <c r="K28" i="2"/>
  <c r="K16" i="2"/>
  <c r="J16" i="2"/>
  <c r="K12" i="2"/>
  <c r="K13" i="2"/>
  <c r="I16" i="2"/>
  <c r="K14" i="2"/>
  <c r="K11" i="2"/>
  <c r="K15" i="2"/>
  <c r="I12" i="2"/>
  <c r="I13" i="2"/>
  <c r="I14" i="2"/>
  <c r="I11" i="2"/>
  <c r="I15" i="2"/>
  <c r="J10" i="2"/>
  <c r="J15" i="2"/>
  <c r="K10" i="2"/>
  <c r="J14" i="2"/>
  <c r="J11" i="2"/>
  <c r="J13" i="2"/>
  <c r="I10" i="2"/>
  <c r="J12" i="2"/>
</calcChain>
</file>

<file path=xl/sharedStrings.xml><?xml version="1.0" encoding="utf-8"?>
<sst xmlns="http://schemas.openxmlformats.org/spreadsheetml/2006/main" count="88" uniqueCount="83">
  <si>
    <t>Input patient characteristics</t>
  </si>
  <si>
    <t>Prior Medication</t>
  </si>
  <si>
    <t>Yes</t>
  </si>
  <si>
    <t>No</t>
  </si>
  <si>
    <t>History of emotional or physical neglect</t>
  </si>
  <si>
    <t>Marital status</t>
  </si>
  <si>
    <t xml:space="preserve">single </t>
  </si>
  <si>
    <t>married/defacto/in relationship</t>
  </si>
  <si>
    <t>widowed/divorced/separated</t>
  </si>
  <si>
    <t>Primary diagnosis depression type</t>
  </si>
  <si>
    <t>Chronic major depression</t>
  </si>
  <si>
    <t>Dysthymia</t>
  </si>
  <si>
    <t>Recurrent major depression with incomplete interepisode recovery</t>
  </si>
  <si>
    <r>
      <rPr>
        <b/>
        <sz val="10"/>
        <color rgb="FF000099"/>
        <rFont val="Arial"/>
        <family val="2"/>
      </rPr>
      <t>Baseline depression severity (HAMD24 score):</t>
    </r>
    <r>
      <rPr>
        <b/>
        <sz val="8"/>
        <color rgb="FF000099"/>
        <rFont val="Arial"/>
        <family val="2"/>
      </rPr>
      <t xml:space="preserve">
min:15  max:40</t>
    </r>
  </si>
  <si>
    <r>
      <rPr>
        <b/>
        <sz val="10"/>
        <color rgb="FF000099"/>
        <rFont val="Arial"/>
        <family val="2"/>
      </rPr>
      <t>Baseline anxiety severity (IDS anxiety/arousal factor score):</t>
    </r>
    <r>
      <rPr>
        <b/>
        <sz val="8"/>
        <color rgb="FF000099"/>
        <rFont val="Arial"/>
        <family val="2"/>
      </rPr>
      <t xml:space="preserve">
min:5   max:25</t>
    </r>
  </si>
  <si>
    <r>
      <t xml:space="preserve">Age in years:
</t>
    </r>
    <r>
      <rPr>
        <b/>
        <sz val="8"/>
        <color rgb="FF000099"/>
        <rFont val="Arial"/>
        <family val="2"/>
      </rPr>
      <t>min:25  max:65</t>
    </r>
  </si>
  <si>
    <t>a0</t>
  </si>
  <si>
    <t>b1</t>
  </si>
  <si>
    <t>b2</t>
  </si>
  <si>
    <t>b3</t>
  </si>
  <si>
    <t>b4</t>
  </si>
  <si>
    <t>b5</t>
  </si>
  <si>
    <t>b6</t>
  </si>
  <si>
    <t>b7</t>
  </si>
  <si>
    <t>g1</t>
  </si>
  <si>
    <t>g2</t>
  </si>
  <si>
    <t>g3</t>
  </si>
  <si>
    <t>g4</t>
  </si>
  <si>
    <t>Mu</t>
  </si>
  <si>
    <t>D11</t>
  </si>
  <si>
    <t>D12</t>
  </si>
  <si>
    <t>D13</t>
  </si>
  <si>
    <t>D14</t>
  </si>
  <si>
    <t>D15</t>
  </si>
  <si>
    <t>D16</t>
  </si>
  <si>
    <t>D21</t>
  </si>
  <si>
    <t>D22</t>
  </si>
  <si>
    <t>D23</t>
  </si>
  <si>
    <t>D25</t>
  </si>
  <si>
    <t>D24</t>
  </si>
  <si>
    <t>D26</t>
  </si>
  <si>
    <t>sev0</t>
  </si>
  <si>
    <t>IDS</t>
  </si>
  <si>
    <t>emotion</t>
  </si>
  <si>
    <t>prior</t>
  </si>
  <si>
    <t>continous outcome</t>
  </si>
  <si>
    <t>time</t>
  </si>
  <si>
    <t>T1</t>
  </si>
  <si>
    <t>T2</t>
  </si>
  <si>
    <t>T3</t>
  </si>
  <si>
    <t>CBASP</t>
  </si>
  <si>
    <t>combination</t>
  </si>
  <si>
    <t>medication</t>
  </si>
  <si>
    <t>Note: Our model may not provide valid predictions for high values for HAMD24 combined with low IDS and vice versa</t>
  </si>
  <si>
    <t>dropout</t>
  </si>
  <si>
    <t>db1</t>
  </si>
  <si>
    <t>db2</t>
  </si>
  <si>
    <t>db3</t>
  </si>
  <si>
    <t>db4</t>
  </si>
  <si>
    <t>db5</t>
  </si>
  <si>
    <t>db6</t>
  </si>
  <si>
    <t>db7</t>
  </si>
  <si>
    <t>db8</t>
  </si>
  <si>
    <t>db9</t>
  </si>
  <si>
    <t>db10</t>
  </si>
  <si>
    <t>dg1</t>
  </si>
  <si>
    <t>dg2</t>
  </si>
  <si>
    <t>dg3</t>
  </si>
  <si>
    <t>dg4</t>
  </si>
  <si>
    <t>dMu</t>
  </si>
  <si>
    <t>dd1</t>
  </si>
  <si>
    <t>dd3</t>
  </si>
  <si>
    <t>dr1</t>
  </si>
  <si>
    <t>dr2</t>
  </si>
  <si>
    <t>dr3</t>
  </si>
  <si>
    <t>age</t>
  </si>
  <si>
    <t>diagnos1</t>
  </si>
  <si>
    <t>diagnos2</t>
  </si>
  <si>
    <t>married1</t>
  </si>
  <si>
    <t>married2</t>
  </si>
  <si>
    <t>CBASP:</t>
  </si>
  <si>
    <t>combination: </t>
  </si>
  <si>
    <t>Propability of dropping out within 12 weeks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</si>
</sst>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游ゴシック"/>
      <family val="2"/>
      <scheme val="minor"/>
    </font>
    <font>
      <sz val="18"/>
      <color rgb="FF00008B"/>
      <name val="Arial"/>
      <family val="2"/>
    </font>
    <font>
      <b/>
      <sz val="11"/>
      <color rgb="FF000099"/>
      <name val="Arial"/>
      <family val="2"/>
    </font>
    <font>
      <b/>
      <sz val="10"/>
      <color rgb="FF000099"/>
      <name val="Arial"/>
      <family val="2"/>
    </font>
    <font>
      <b/>
      <sz val="8"/>
      <color rgb="FF000099"/>
      <name val="Arial"/>
      <family val="2"/>
    </font>
    <font>
      <b/>
      <sz val="11"/>
      <color rgb="FF000099"/>
      <name val="游ゴシック"/>
      <family val="2"/>
      <scheme val="minor"/>
    </font>
    <font>
      <b/>
      <sz val="14"/>
      <color rgb="FFFF0000"/>
      <name val="游ゴシック"/>
      <family val="2"/>
      <scheme val="minor"/>
    </font>
    <font>
      <b/>
      <sz val="10"/>
      <color rgb="FF000099"/>
      <name val="游ゴシック"/>
      <family val="2"/>
      <scheme val="minor"/>
    </font>
    <font>
      <i/>
      <sz val="11"/>
      <color theme="1"/>
      <name val="游ゴシック"/>
      <family val="2"/>
      <scheme val="minor"/>
    </font>
    <font>
      <b/>
      <sz val="11"/>
      <color theme="0"/>
      <name val="游ゴシック"/>
      <family val="2"/>
      <scheme val="minor"/>
    </font>
    <font>
      <sz val="11"/>
      <color theme="0"/>
      <name val="游ゴシック"/>
      <family val="2"/>
      <scheme val="minor"/>
    </font>
    <font>
      <b/>
      <sz val="12"/>
      <color theme="1"/>
      <name val="游ゴシック"/>
      <family val="2"/>
      <scheme val="minor"/>
    </font>
    <font>
      <b/>
      <sz val="12"/>
      <color rgb="FF000000"/>
      <name val="游ゴシック"/>
      <family val="2"/>
      <scheme val="minor"/>
    </font>
    <font>
      <sz val="6"/>
      <name val="游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2" borderId="0" xfId="0" applyFont="1" applyFill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7" fillId="2" borderId="0" xfId="0" applyFont="1" applyFill="1" applyAlignment="1" applyProtection="1">
      <alignment horizontal="center" vertical="center"/>
      <protection locked="0"/>
    </xf>
    <xf numFmtId="0" fontId="4" fillId="3" borderId="0" xfId="0" applyFont="1" applyFill="1" applyAlignment="1" applyProtection="1">
      <alignment horizontal="center" vertical="center" wrapText="1"/>
    </xf>
    <xf numFmtId="0" fontId="3" fillId="3" borderId="0" xfId="0" applyFont="1" applyFill="1" applyAlignment="1" applyProtection="1">
      <alignment horizontal="center" vertical="center" wrapText="1"/>
    </xf>
    <xf numFmtId="0" fontId="3" fillId="3" borderId="0" xfId="0" applyFont="1" applyFill="1" applyAlignment="1" applyProtection="1">
      <alignment horizontal="center" vertical="center"/>
    </xf>
    <xf numFmtId="0" fontId="0" fillId="4" borderId="0" xfId="0" applyFill="1" applyProtection="1"/>
    <xf numFmtId="0" fontId="11" fillId="6" borderId="0" xfId="0" applyFont="1" applyFill="1" applyAlignment="1" applyProtection="1">
      <alignment horizontal="center" vertical="center"/>
    </xf>
    <xf numFmtId="9" fontId="11" fillId="6" borderId="0" xfId="0" applyNumberFormat="1" applyFont="1" applyFill="1" applyAlignment="1" applyProtection="1">
      <alignment horizontal="center" vertical="center"/>
    </xf>
    <xf numFmtId="0" fontId="12" fillId="6" borderId="0" xfId="0" applyFont="1" applyFill="1" applyAlignment="1" applyProtection="1">
      <alignment horizontal="center" vertical="center"/>
    </xf>
    <xf numFmtId="0" fontId="10" fillId="4" borderId="0" xfId="0" applyFont="1" applyFill="1"/>
    <xf numFmtId="0" fontId="9" fillId="4" borderId="0" xfId="0" applyFont="1" applyFill="1"/>
    <xf numFmtId="0" fontId="10" fillId="4" borderId="0" xfId="0" applyFont="1" applyFill="1" applyAlignment="1">
      <alignment horizontal="center"/>
    </xf>
    <xf numFmtId="2" fontId="10" fillId="4" borderId="0" xfId="0" applyNumberFormat="1" applyFont="1" applyFill="1" applyAlignment="1">
      <alignment horizontal="center"/>
    </xf>
    <xf numFmtId="2" fontId="10" fillId="4" borderId="0" xfId="0" applyNumberFormat="1" applyFont="1" applyFill="1"/>
    <xf numFmtId="0" fontId="1" fillId="5" borderId="0" xfId="0" applyFont="1" applyFill="1" applyAlignment="1" applyProtection="1">
      <alignment horizontal="center" vertical="center" wrapText="1"/>
    </xf>
    <xf numFmtId="0" fontId="0" fillId="5" borderId="0" xfId="0" applyFill="1" applyAlignment="1" applyProtection="1">
      <alignment horizontal="center"/>
    </xf>
    <xf numFmtId="0" fontId="6" fillId="4" borderId="0" xfId="0" applyFont="1" applyFill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8" fillId="4" borderId="0" xfId="0" applyFont="1" applyFill="1" applyAlignment="1" applyProtection="1">
      <alignment horizontal="center"/>
    </xf>
    <xf numFmtId="0" fontId="8" fillId="0" borderId="0" xfId="0" applyFont="1" applyAlignment="1" applyProtection="1">
      <alignment horizontal="center"/>
    </xf>
    <xf numFmtId="0" fontId="11" fillId="7" borderId="0" xfId="0" applyFont="1" applyFill="1" applyAlignment="1" applyProtection="1">
      <alignment horizontal="center"/>
    </xf>
    <xf numFmtId="0" fontId="0" fillId="0" borderId="0" xfId="0" applyAlignment="1" applyProtection="1"/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33CC"/>
      <color rgb="FF003399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GB" sz="1800">
                <a:solidFill>
                  <a:schemeClr val="tx1"/>
                </a:solidFill>
              </a:rPr>
              <a:t>Predicted patient</a:t>
            </a:r>
            <a:r>
              <a:rPr lang="en-GB" sz="1800" baseline="0">
                <a:solidFill>
                  <a:schemeClr val="tx1"/>
                </a:solidFill>
              </a:rPr>
              <a:t> severity</a:t>
            </a:r>
            <a:endParaRPr lang="en-GB" sz="1800">
              <a:solidFill>
                <a:schemeClr val="tx1"/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data!$I$9</c:f>
              <c:strCache>
                <c:ptCount val="1"/>
                <c:pt idx="0">
                  <c:v>CBASP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data!$H$10:$H$16</c:f>
              <c:numCache>
                <c:formatCode>General</c:formatCode>
                <c:ptCount val="7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</c:numCache>
            </c:numRef>
          </c:cat>
          <c:val>
            <c:numRef>
              <c:f>data!$I$10:$I$16</c:f>
              <c:numCache>
                <c:formatCode>0.00</c:formatCode>
                <c:ptCount val="7"/>
                <c:pt idx="0">
                  <c:v>15</c:v>
                </c:pt>
                <c:pt idx="1">
                  <c:v>17.881687499999998</c:v>
                </c:pt>
                <c:pt idx="2">
                  <c:v>15.5936875</c:v>
                </c:pt>
                <c:pt idx="3">
                  <c:v>13.4496875</c:v>
                </c:pt>
                <c:pt idx="4">
                  <c:v>11.649687500000001</c:v>
                </c:pt>
                <c:pt idx="5">
                  <c:v>10.081687499999999</c:v>
                </c:pt>
                <c:pt idx="6">
                  <c:v>9.3536874999999995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B41-4F27-82F7-032EF75F46D8}"/>
            </c:ext>
          </c:extLst>
        </c:ser>
        <c:ser>
          <c:idx val="1"/>
          <c:order val="1"/>
          <c:tx>
            <c:strRef>
              <c:f>data!$J$9</c:f>
              <c:strCache>
                <c:ptCount val="1"/>
                <c:pt idx="0">
                  <c:v>combination</c:v>
                </c:pt>
              </c:strCache>
            </c:strRef>
          </c:tx>
          <c:spPr>
            <a:ln w="28575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numRef>
              <c:f>data!$H$10:$H$16</c:f>
              <c:numCache>
                <c:formatCode>General</c:formatCode>
                <c:ptCount val="7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</c:numCache>
            </c:numRef>
          </c:cat>
          <c:val>
            <c:numRef>
              <c:f>data!$J$10:$J$16</c:f>
              <c:numCache>
                <c:formatCode>0.00</c:formatCode>
                <c:ptCount val="7"/>
                <c:pt idx="0">
                  <c:v>15</c:v>
                </c:pt>
                <c:pt idx="1">
                  <c:v>16.033000000000001</c:v>
                </c:pt>
                <c:pt idx="2">
                  <c:v>14.225</c:v>
                </c:pt>
                <c:pt idx="3">
                  <c:v>12.417</c:v>
                </c:pt>
                <c:pt idx="4">
                  <c:v>10.609</c:v>
                </c:pt>
                <c:pt idx="5">
                  <c:v>8.8010000000000002</c:v>
                </c:pt>
                <c:pt idx="6">
                  <c:v>6.9930000000000003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6B41-4F27-82F7-032EF75F46D8}"/>
            </c:ext>
          </c:extLst>
        </c:ser>
        <c:ser>
          <c:idx val="2"/>
          <c:order val="2"/>
          <c:tx>
            <c:strRef>
              <c:f>data!$K$9</c:f>
              <c:strCache>
                <c:ptCount val="1"/>
                <c:pt idx="0">
                  <c:v>medication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data!$H$10:$H$16</c:f>
              <c:numCache>
                <c:formatCode>General</c:formatCode>
                <c:ptCount val="7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</c:numCache>
            </c:numRef>
          </c:cat>
          <c:val>
            <c:numRef>
              <c:f>data!$K$10:$K$16</c:f>
              <c:numCache>
                <c:formatCode>0.00</c:formatCode>
                <c:ptCount val="7"/>
                <c:pt idx="0">
                  <c:v>15</c:v>
                </c:pt>
                <c:pt idx="1">
                  <c:v>15.1935</c:v>
                </c:pt>
                <c:pt idx="2">
                  <c:v>13.2159</c:v>
                </c:pt>
                <c:pt idx="3">
                  <c:v>11.991099999999999</c:v>
                </c:pt>
                <c:pt idx="4">
                  <c:v>11.0215</c:v>
                </c:pt>
                <c:pt idx="5">
                  <c:v>10.781499999999999</c:v>
                </c:pt>
                <c:pt idx="6">
                  <c:v>9.4535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6B41-4F27-82F7-032EF75F46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7279504"/>
        <c:axId val="297279088"/>
      </c:lineChart>
      <c:catAx>
        <c:axId val="2972795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>
                    <a:solidFill>
                      <a:schemeClr val="tx1"/>
                    </a:solidFill>
                  </a:rPr>
                  <a:t>Week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97279088"/>
        <c:crosses val="autoZero"/>
        <c:auto val="1"/>
        <c:lblAlgn val="ctr"/>
        <c:lblOffset val="100"/>
        <c:noMultiLvlLbl val="0"/>
      </c:catAx>
      <c:valAx>
        <c:axId val="297279088"/>
        <c:scaling>
          <c:orientation val="minMax"/>
          <c:max val="4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>
                    <a:solidFill>
                      <a:schemeClr val="tx1"/>
                    </a:solidFill>
                  </a:rPr>
                  <a:t>Depression severity</a:t>
                </a:r>
                <a:r>
                  <a:rPr lang="en-GB" b="1" baseline="0">
                    <a:solidFill>
                      <a:schemeClr val="tx1"/>
                    </a:solidFill>
                  </a:rPr>
                  <a:t> (HAMD 24 score)</a:t>
                </a:r>
                <a:endParaRPr lang="en-GB" b="1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1.1037527593818985E-2"/>
              <c:y val="0.18169681492516138"/>
            </c:manualLayout>
          </c:layout>
          <c:overlay val="0"/>
          <c:spPr>
            <a:solidFill>
              <a:sysClr val="window" lastClr="FFFFFF"/>
            </a:solidFill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97279504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9</xdr:row>
      <xdr:rowOff>152400</xdr:rowOff>
    </xdr:from>
    <xdr:to>
      <xdr:col>1</xdr:col>
      <xdr:colOff>3909060</xdr:colOff>
      <xdr:row>30</xdr:row>
      <xdr:rowOff>106680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tabSelected="1" workbookViewId="0">
      <selection activeCell="B5" sqref="B5"/>
    </sheetView>
  </sheetViews>
  <sheetFormatPr defaultColWidth="8.83203125" defaultRowHeight="18" x14ac:dyDescent="0.55000000000000004"/>
  <cols>
    <col min="1" max="1" width="55.75" style="7" customWidth="1"/>
    <col min="2" max="2" width="57.25" style="7" customWidth="1"/>
    <col min="3" max="3" width="62.83203125" style="7" customWidth="1"/>
    <col min="4" max="4" width="43.75" style="7" customWidth="1"/>
    <col min="5" max="16384" width="8.83203125" style="7"/>
  </cols>
  <sheetData>
    <row r="1" spans="1:3" ht="37.9" customHeight="1" x14ac:dyDescent="0.55000000000000004">
      <c r="A1" s="16" t="s">
        <v>0</v>
      </c>
      <c r="B1" s="17"/>
    </row>
    <row r="2" spans="1:3" ht="37.9" customHeight="1" x14ac:dyDescent="0.55000000000000004">
      <c r="A2" s="4" t="s">
        <v>13</v>
      </c>
      <c r="B2" s="1">
        <v>15</v>
      </c>
      <c r="C2" s="18" t="str">
        <f>IF(OR(AND(B2&gt;30,B3&lt;10),AND(B2&lt;20,B3&gt;20)),"Please choose different values for HAMD24 and/or IDS","")</f>
        <v/>
      </c>
    </row>
    <row r="3" spans="1:3" ht="25.9" customHeight="1" x14ac:dyDescent="0.55000000000000004">
      <c r="A3" s="4" t="s">
        <v>14</v>
      </c>
      <c r="B3" s="1">
        <v>17</v>
      </c>
      <c r="C3" s="19"/>
    </row>
    <row r="4" spans="1:3" ht="26.5" customHeight="1" x14ac:dyDescent="0.55000000000000004">
      <c r="A4" s="5" t="s">
        <v>15</v>
      </c>
      <c r="B4" s="1">
        <v>25</v>
      </c>
      <c r="C4" s="19"/>
    </row>
    <row r="5" spans="1:3" ht="19.899999999999999" customHeight="1" x14ac:dyDescent="0.55000000000000004">
      <c r="A5" s="6" t="s">
        <v>1</v>
      </c>
      <c r="B5" s="1" t="s">
        <v>2</v>
      </c>
    </row>
    <row r="6" spans="1:3" ht="19.899999999999999" customHeight="1" x14ac:dyDescent="0.55000000000000004">
      <c r="A6" s="6" t="s">
        <v>4</v>
      </c>
      <c r="B6" s="1" t="s">
        <v>2</v>
      </c>
    </row>
    <row r="7" spans="1:3" ht="18" customHeight="1" x14ac:dyDescent="0.55000000000000004">
      <c r="A7" s="6" t="s">
        <v>5</v>
      </c>
      <c r="B7" s="2" t="s">
        <v>6</v>
      </c>
    </row>
    <row r="8" spans="1:3" ht="20.5" customHeight="1" x14ac:dyDescent="0.55000000000000004">
      <c r="A8" s="6" t="s">
        <v>9</v>
      </c>
      <c r="B8" s="3" t="s">
        <v>10</v>
      </c>
    </row>
    <row r="9" spans="1:3" x14ac:dyDescent="0.55000000000000004">
      <c r="A9" s="20" t="s">
        <v>53</v>
      </c>
      <c r="B9" s="21"/>
    </row>
    <row r="32" spans="1:2" ht="20" x14ac:dyDescent="0.6">
      <c r="A32" s="22" t="s">
        <v>82</v>
      </c>
      <c r="B32" s="23"/>
    </row>
    <row r="33" spans="1:2" ht="19.899999999999999" customHeight="1" x14ac:dyDescent="0.55000000000000004">
      <c r="A33" s="8" t="s">
        <v>80</v>
      </c>
      <c r="B33" s="9">
        <f>data!G28</f>
        <v>0.58504611188968902</v>
      </c>
    </row>
    <row r="34" spans="1:2" ht="18.649999999999999" customHeight="1" x14ac:dyDescent="0.55000000000000004">
      <c r="A34" s="10" t="s">
        <v>81</v>
      </c>
      <c r="B34" s="9">
        <f>data!H28</f>
        <v>0.32422807147661792</v>
      </c>
    </row>
    <row r="35" spans="1:2" ht="20.5" customHeight="1" x14ac:dyDescent="0.55000000000000004">
      <c r="A35" s="8" t="s">
        <v>52</v>
      </c>
      <c r="B35" s="9">
        <f>data!I28</f>
        <v>0.46963600365822805</v>
      </c>
    </row>
  </sheetData>
  <sheetProtection algorithmName="SHA-512" hashValue="FUdieDjT4ZodBa0uYcnECMBHJMzuTWO9uHWJOEjWj48c/RBZXSSPyNHVHzGT2gBO/B2Q58kvTWYM2ud7A4iT4g==" saltValue="Z+Sb0WxDk6tp50nYpz3HOQ==" spinCount="100000" sheet="1" formatCells="0" selectLockedCells="1"/>
  <mergeCells count="4">
    <mergeCell ref="A1:B1"/>
    <mergeCell ref="C2:C4"/>
    <mergeCell ref="A9:B9"/>
    <mergeCell ref="A32:B32"/>
  </mergeCells>
  <phoneticPr fontId="13"/>
  <dataValidations count="3">
    <dataValidation type="whole" allowBlank="1" showInputMessage="1" showErrorMessage="1" sqref="B2">
      <formula1>15</formula1>
      <formula2>40</formula2>
    </dataValidation>
    <dataValidation type="whole" allowBlank="1" showInputMessage="1" showErrorMessage="1" sqref="B3">
      <formula1>5</formula1>
      <formula2>25</formula2>
    </dataValidation>
    <dataValidation type="whole" allowBlank="1" showInputMessage="1" showErrorMessage="1" sqref="B4">
      <formula1>25</formula1>
      <formula2>65</formula2>
    </dataValidation>
  </dataValidation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data!$A$1:$A$2</xm:f>
          </x14:formula1>
          <xm:sqref>B5 B6</xm:sqref>
        </x14:dataValidation>
        <x14:dataValidation type="list" allowBlank="1" showInputMessage="1" showErrorMessage="1">
          <x14:formula1>
            <xm:f>data!$B$1:$B$3</xm:f>
          </x14:formula1>
          <xm:sqref>B7</xm:sqref>
        </x14:dataValidation>
        <x14:dataValidation type="list" allowBlank="1" showInputMessage="1" showErrorMessage="1">
          <x14:formula1>
            <xm:f>data!$F$1:$F$3</xm:f>
          </x14:formula1>
          <xm:sqref>B8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workbookViewId="0">
      <selection activeCell="D13" sqref="D13"/>
    </sheetView>
  </sheetViews>
  <sheetFormatPr defaultColWidth="8.83203125" defaultRowHeight="18" x14ac:dyDescent="0.55000000000000004"/>
  <cols>
    <col min="1" max="16384" width="8.83203125" style="11"/>
  </cols>
  <sheetData>
    <row r="1" spans="1:12" x14ac:dyDescent="0.55000000000000004">
      <c r="A1" s="11" t="s">
        <v>2</v>
      </c>
      <c r="B1" s="11" t="s">
        <v>6</v>
      </c>
      <c r="F1" s="11" t="s">
        <v>10</v>
      </c>
    </row>
    <row r="2" spans="1:12" x14ac:dyDescent="0.55000000000000004">
      <c r="A2" s="11" t="s">
        <v>3</v>
      </c>
      <c r="B2" s="11" t="s">
        <v>7</v>
      </c>
      <c r="F2" s="11" t="s">
        <v>11</v>
      </c>
    </row>
    <row r="3" spans="1:12" x14ac:dyDescent="0.55000000000000004">
      <c r="B3" s="11" t="s">
        <v>8</v>
      </c>
      <c r="F3" s="11" t="s">
        <v>12</v>
      </c>
    </row>
    <row r="7" spans="1:12" s="12" customFormat="1" x14ac:dyDescent="0.55000000000000004">
      <c r="A7" s="12" t="s">
        <v>45</v>
      </c>
    </row>
    <row r="8" spans="1:12" x14ac:dyDescent="0.55000000000000004">
      <c r="A8" s="11" t="s">
        <v>16</v>
      </c>
      <c r="B8" s="11">
        <v>-0.22600000000000001</v>
      </c>
      <c r="C8" s="11" t="s">
        <v>29</v>
      </c>
      <c r="D8" s="11">
        <v>0.35799999999999998</v>
      </c>
      <c r="E8" s="11" t="s">
        <v>41</v>
      </c>
      <c r="F8" s="11">
        <f>(Input!B2-20)/8</f>
        <v>-0.625</v>
      </c>
      <c r="G8" s="11">
        <v>8</v>
      </c>
      <c r="I8" s="11" t="s">
        <v>47</v>
      </c>
      <c r="J8" s="11" t="s">
        <v>48</v>
      </c>
      <c r="K8" s="11" t="s">
        <v>49</v>
      </c>
    </row>
    <row r="9" spans="1:12" x14ac:dyDescent="0.55000000000000004">
      <c r="A9" s="11" t="s">
        <v>17</v>
      </c>
      <c r="B9" s="11">
        <v>4.2000000000000003E-2</v>
      </c>
      <c r="C9" s="11" t="s">
        <v>30</v>
      </c>
      <c r="D9" s="11">
        <v>0.29799999999999999</v>
      </c>
      <c r="E9" s="11" t="s">
        <v>42</v>
      </c>
      <c r="F9" s="11">
        <f>(Input!B3-12)/5</f>
        <v>1</v>
      </c>
      <c r="G9" s="11">
        <v>9</v>
      </c>
      <c r="H9" s="13" t="s">
        <v>46</v>
      </c>
      <c r="I9" s="13" t="s">
        <v>50</v>
      </c>
      <c r="J9" s="13" t="s">
        <v>51</v>
      </c>
      <c r="K9" s="13" t="s">
        <v>52</v>
      </c>
      <c r="L9" s="13"/>
    </row>
    <row r="10" spans="1:12" x14ac:dyDescent="0.55000000000000004">
      <c r="A10" s="11" t="s">
        <v>18</v>
      </c>
      <c r="B10" s="11">
        <v>0.38900000000000001</v>
      </c>
      <c r="C10" s="11" t="s">
        <v>31</v>
      </c>
      <c r="D10" s="11">
        <v>0.25600000000000001</v>
      </c>
      <c r="E10" s="11" t="s">
        <v>43</v>
      </c>
      <c r="F10" s="11">
        <f>IF(Input!B6="Yes",1,0)</f>
        <v>1</v>
      </c>
      <c r="G10" s="11">
        <v>10</v>
      </c>
      <c r="H10" s="13">
        <v>0</v>
      </c>
      <c r="I10" s="14">
        <f>F8*8+20</f>
        <v>15</v>
      </c>
      <c r="J10" s="14">
        <f>F8*8+20</f>
        <v>15</v>
      </c>
      <c r="K10" s="14">
        <f>F8*8+20</f>
        <v>15</v>
      </c>
      <c r="L10" s="13"/>
    </row>
    <row r="11" spans="1:12" x14ac:dyDescent="0.55000000000000004">
      <c r="A11" s="11" t="s">
        <v>19</v>
      </c>
      <c r="B11" s="11">
        <v>6.7500000000000004E-2</v>
      </c>
      <c r="C11" s="11" t="s">
        <v>32</v>
      </c>
      <c r="D11" s="11">
        <v>0.25700000000000001</v>
      </c>
      <c r="E11" s="11" t="s">
        <v>44</v>
      </c>
      <c r="F11" s="11">
        <f>IF(Input!B5="Yes",1,0)</f>
        <v>1</v>
      </c>
      <c r="G11" s="11">
        <v>11</v>
      </c>
      <c r="H11" s="13">
        <v>2</v>
      </c>
      <c r="I11" s="15">
        <f>(B21+B8*1+B9*F9+B10*F8+B11*F11+B12*F8*F8+B13*F8*F10+B14*F8*F11+B15*F9*F11+D8+B17*F8*F8+B18*F8*F9)*8+20</f>
        <v>17.881687499999998</v>
      </c>
      <c r="J11" s="14">
        <f>(B21+B8*1+B9*F9+B10*F8+B11*F11+B12*F8*F8+B13*F8*F10+B14*F8*F11+B15*F9*F11)*8+20</f>
        <v>16.033000000000001</v>
      </c>
      <c r="K11" s="14">
        <f>(B21+B8*1+B9*F9+B10*F8+B11*F11+B12*F8*F8+B13*F8*F10+B14*F8*F11+B15*F9*F11+D14+B19*F8+B20*F11*F8)*8+20</f>
        <v>15.1935</v>
      </c>
      <c r="L11" s="13"/>
    </row>
    <row r="12" spans="1:12" x14ac:dyDescent="0.55000000000000004">
      <c r="A12" s="11" t="s">
        <v>20</v>
      </c>
      <c r="B12" s="11">
        <v>-2.5600000000000001E-2</v>
      </c>
      <c r="C12" s="11" t="s">
        <v>33</v>
      </c>
      <c r="D12" s="11">
        <v>0.28699999999999998</v>
      </c>
      <c r="E12" s="11" t="s">
        <v>75</v>
      </c>
      <c r="F12" s="11">
        <f>(Input!B4-43.8)/11.3</f>
        <v>-1.6637168141592917</v>
      </c>
      <c r="G12" s="11">
        <v>12</v>
      </c>
      <c r="H12" s="13">
        <v>4</v>
      </c>
      <c r="I12" s="14">
        <f>(B21+B8*2+B9*F9+B10*F8+B11*F11+B12*F8*F8+B13*F8*F10+B14*F8*F11+B15*F9*F11+D9+B17*F8*F8+B18*F8*F9)*8+20</f>
        <v>15.5936875</v>
      </c>
      <c r="J12" s="14">
        <f>(B21+B8*2+B9*F9+B10*F8+B11*F11+B12*F8*F8+B13*F8*F10+B14*F8*F11+B15*F9*F11)*8+20</f>
        <v>14.225</v>
      </c>
      <c r="K12" s="14">
        <f>(B21+B8*2+B9*F9+B10*F8+B11*F11+B12*F8*F8+B13*F8*F10+B14*F8*F11+B15*F9*F11+D15+B19*F8+B20*F11*F8)*8+20</f>
        <v>13.2159</v>
      </c>
      <c r="L12" s="13"/>
    </row>
    <row r="13" spans="1:12" x14ac:dyDescent="0.55000000000000004">
      <c r="A13" s="11" t="s">
        <v>21</v>
      </c>
      <c r="B13" s="11">
        <v>4.9000000000000002E-2</v>
      </c>
      <c r="C13" s="11" t="s">
        <v>34</v>
      </c>
      <c r="D13" s="11">
        <v>0.42199999999999999</v>
      </c>
      <c r="E13" s="11" t="s">
        <v>76</v>
      </c>
      <c r="F13" s="11">
        <f>IF(Input!B8="Chronic major depression",1,0)</f>
        <v>1</v>
      </c>
      <c r="G13" s="11">
        <v>13</v>
      </c>
      <c r="H13" s="13">
        <v>6</v>
      </c>
      <c r="I13" s="14">
        <f>(B21+B8*3+B9*F9+B10*F8+B11*F11+B12*F8*F8+B13*F8*F10+B14*F8*F11+B15*F9*F11+D10+B17*F8*F8+B18*F8*F9)*8+20</f>
        <v>13.4496875</v>
      </c>
      <c r="J13" s="14">
        <f>(B21+B8*3+B9*F9+B10*F8+B11*F11+B12*F8*F8+B13*F8*F10+B14*F8*F11+B15*F9*F11)*8+20</f>
        <v>12.417</v>
      </c>
      <c r="K13" s="14">
        <f>(B21+B8*3+B9*F9+B10*F8+B11*F11+B12*F8*F8+B13*F8*F10+B14*F8*F11+B15*F9*F11+D16+B19*F8+B20*F11*F8)*8+20</f>
        <v>11.991099999999999</v>
      </c>
      <c r="L13" s="13"/>
    </row>
    <row r="14" spans="1:12" x14ac:dyDescent="0.55000000000000004">
      <c r="A14" s="11" t="s">
        <v>22</v>
      </c>
      <c r="B14" s="11">
        <v>0.10100000000000001</v>
      </c>
      <c r="C14" s="11" t="s">
        <v>35</v>
      </c>
      <c r="D14" s="11">
        <v>-3.3500000000000002E-2</v>
      </c>
      <c r="E14" s="11" t="s">
        <v>77</v>
      </c>
      <c r="F14" s="11">
        <f>IF(Input!B8="Dysthymia",1,0)</f>
        <v>0</v>
      </c>
      <c r="G14" s="11">
        <v>14</v>
      </c>
      <c r="H14" s="13">
        <v>8</v>
      </c>
      <c r="I14" s="14">
        <f>(B21+B8*4+B9*F9+B10*F8+B11*F11+B12*F8*F8+B13*F8*F10+B14*F8*F11+B15*F9*F11+D11+B17*F8*F8+B18*F8*F9)*8+20</f>
        <v>11.649687500000001</v>
      </c>
      <c r="J14" s="14">
        <f>(B21+B8*4+B9*F9+B10*F8+B11*F11+B12*F8*F8+B13*F8*F10+B14*F8*F11+B15*F9*F11)*8+20</f>
        <v>10.609</v>
      </c>
      <c r="K14" s="14">
        <f>(B21+B8*4+B9*F9+B10*F8+B11*F11+B12*F8*F8+B13*F8*F10+B14*F8*F11+B15*F9*F11+D17+B19*F8+B20*F11*F8)*8+20</f>
        <v>11.0215</v>
      </c>
      <c r="L14" s="13"/>
    </row>
    <row r="15" spans="1:12" x14ac:dyDescent="0.55000000000000004">
      <c r="A15" s="11" t="s">
        <v>23</v>
      </c>
      <c r="B15" s="11">
        <v>6.25E-2</v>
      </c>
      <c r="C15" s="11" t="s">
        <v>36</v>
      </c>
      <c r="D15" s="11">
        <v>-5.4699999999999999E-2</v>
      </c>
      <c r="E15" s="11" t="s">
        <v>79</v>
      </c>
      <c r="F15" s="11">
        <f>IF(Input!B7="single ",1,0)</f>
        <v>1</v>
      </c>
      <c r="G15" s="11">
        <v>15</v>
      </c>
      <c r="H15" s="13">
        <v>10</v>
      </c>
      <c r="I15" s="14">
        <f>(B21+B8*5+B9*F9+B10*F8+B11*F11+B12*F8*F8+B13*F8*F10+B14*F8*F11+B15*F9*F11+D12+B17*F8*F8+B18*F8*F9)*8+20</f>
        <v>10.081687499999999</v>
      </c>
      <c r="J15" s="14">
        <f>(B21+B8*5+B9*F9+B10*F8+B11*F11+B12*F8*F8+B13*F8*F10+B14*F8*F11+B15*F9*F11)*8+20</f>
        <v>8.8010000000000002</v>
      </c>
      <c r="K15" s="14">
        <f>(B21+B8*5+B9*F9+B10*F8+B11*F11+B12*F8*F8+B13*F8*F10+B14*F8*F11+B15*F9*F11+D18+B19*F8+B20*F11*F8)*8+20</f>
        <v>10.781499999999999</v>
      </c>
      <c r="L15" s="13"/>
    </row>
    <row r="16" spans="1:12" x14ac:dyDescent="0.55000000000000004">
      <c r="C16" s="11" t="s">
        <v>37</v>
      </c>
      <c r="D16" s="11">
        <v>1.8200000000000001E-2</v>
      </c>
      <c r="E16" s="11" t="s">
        <v>78</v>
      </c>
      <c r="F16" s="11">
        <f>IF(Input!B7="married/defacto/in relationship",1,0)</f>
        <v>0</v>
      </c>
      <c r="G16" s="11">
        <v>16</v>
      </c>
      <c r="H16" s="13">
        <v>12</v>
      </c>
      <c r="I16" s="14">
        <f>(B21+B8*6+B9*F9+B10*F8+B11*F11+B12*F8*F8+B13*F8*F10+B14*F8*F11+B15*F9*F11+D13+B17*F8*F8+B18*F8*F9)*8+20</f>
        <v>9.3536874999999995</v>
      </c>
      <c r="J16" s="14">
        <f>(B21+B8*6+B9*F9+B10*F8+B11*F11+B12*F8*F8+B13*F8*F10+B14*F8*F11+B15*F9*F11)*8+20</f>
        <v>6.9930000000000003</v>
      </c>
      <c r="K16" s="14">
        <f>(B21+B8*6+B9*F9+B10*F8+B11*F11+B12*F8*F8+B13*F8*F10+B14*F8*F11+B15*F9*F11+D19+B19*F8+B20*F11*F8)*8+20</f>
        <v>9.4535</v>
      </c>
      <c r="L16" s="13"/>
    </row>
    <row r="17" spans="1:11" x14ac:dyDescent="0.55000000000000004">
      <c r="A17" s="11" t="s">
        <v>24</v>
      </c>
      <c r="B17" s="11">
        <v>-5.6099999999999997E-2</v>
      </c>
      <c r="C17" s="11" t="s">
        <v>39</v>
      </c>
      <c r="D17" s="11">
        <v>0.123</v>
      </c>
    </row>
    <row r="18" spans="1:11" x14ac:dyDescent="0.55000000000000004">
      <c r="A18" s="11" t="s">
        <v>25</v>
      </c>
      <c r="B18" s="11">
        <v>0.16800000000000001</v>
      </c>
      <c r="C18" s="11" t="s">
        <v>38</v>
      </c>
      <c r="D18" s="11">
        <v>0.31900000000000001</v>
      </c>
    </row>
    <row r="19" spans="1:11" x14ac:dyDescent="0.55000000000000004">
      <c r="A19" s="11" t="s">
        <v>26</v>
      </c>
      <c r="B19" s="11">
        <v>2.8799999999999999E-2</v>
      </c>
      <c r="C19" s="11" t="s">
        <v>40</v>
      </c>
      <c r="D19" s="11">
        <v>0.379</v>
      </c>
    </row>
    <row r="20" spans="1:11" x14ac:dyDescent="0.55000000000000004">
      <c r="A20" s="11" t="s">
        <v>27</v>
      </c>
      <c r="B20" s="11">
        <v>8.5500000000000007E-2</v>
      </c>
    </row>
    <row r="21" spans="1:11" x14ac:dyDescent="0.55000000000000004">
      <c r="A21" s="11" t="s">
        <v>28</v>
      </c>
      <c r="B21" s="11">
        <v>-9.5000000000000001E-2</v>
      </c>
    </row>
    <row r="23" spans="1:11" x14ac:dyDescent="0.55000000000000004">
      <c r="A23" s="12" t="s">
        <v>54</v>
      </c>
    </row>
    <row r="24" spans="1:11" x14ac:dyDescent="0.55000000000000004">
      <c r="A24" s="11" t="s">
        <v>55</v>
      </c>
      <c r="B24" s="11">
        <v>0.11</v>
      </c>
      <c r="D24" s="11" t="s">
        <v>65</v>
      </c>
      <c r="E24" s="11">
        <v>-0.39</v>
      </c>
    </row>
    <row r="25" spans="1:11" x14ac:dyDescent="0.55000000000000004">
      <c r="A25" s="11" t="s">
        <v>56</v>
      </c>
      <c r="B25" s="11">
        <v>-0.16</v>
      </c>
      <c r="D25" s="11" t="s">
        <v>66</v>
      </c>
      <c r="E25" s="11">
        <v>-0.87</v>
      </c>
    </row>
    <row r="26" spans="1:11" x14ac:dyDescent="0.55000000000000004">
      <c r="A26" s="11" t="s">
        <v>57</v>
      </c>
      <c r="B26" s="11">
        <v>-7.0000000000000007E-2</v>
      </c>
      <c r="D26" s="11" t="s">
        <v>67</v>
      </c>
      <c r="E26" s="11">
        <v>-0.13</v>
      </c>
      <c r="G26" s="11" t="s">
        <v>72</v>
      </c>
      <c r="H26" s="11" t="s">
        <v>73</v>
      </c>
      <c r="I26" s="11" t="s">
        <v>74</v>
      </c>
    </row>
    <row r="27" spans="1:11" x14ac:dyDescent="0.55000000000000004">
      <c r="A27" s="11" t="s">
        <v>58</v>
      </c>
      <c r="B27" s="11">
        <v>-0.09</v>
      </c>
      <c r="D27" s="11" t="s">
        <v>68</v>
      </c>
      <c r="E27" s="11">
        <v>0.09</v>
      </c>
      <c r="G27" s="11">
        <f>E28+B24*F8+B25*F12+B26*F11+B27*F8*F8+B28*F12*F12+B29*F13*F8+B30*F14*F8+B31*F12*F15+B32*F12*F13+B33*F11*F16+E24*F12*F12+E25*F12*F13+E29</f>
        <v>0.34352326679849599</v>
      </c>
      <c r="H27" s="11">
        <f>E28+B24*F8+B25*F12+B26*F11+B27*F8*F8+B28*F12*F12+B29*F13*F8+B30*F14*F8+B31*F12*F15+B32*F12*F13+B33*F11*F16</f>
        <v>-0.73440844281071382</v>
      </c>
      <c r="I27" s="11">
        <f>E28+B24*F8+B25*F12+B26*F11+B27*F8*F8+B28*F12*F12+B29*F13*F8+B30*F14*F8+B31*F12*F15+B32*F12*F13+B33*F11*F16+E26*F8*F8+E27*F8*F12+E30</f>
        <v>-0.12160562201425373</v>
      </c>
    </row>
    <row r="28" spans="1:11" x14ac:dyDescent="0.55000000000000004">
      <c r="A28" s="11" t="s">
        <v>59</v>
      </c>
      <c r="B28" s="11">
        <v>0.2</v>
      </c>
      <c r="D28" s="11" t="s">
        <v>69</v>
      </c>
      <c r="E28" s="11">
        <v>-1.75</v>
      </c>
      <c r="G28" s="11">
        <f>EXP(G27)/(1+EXP(G27))</f>
        <v>0.58504611188968902</v>
      </c>
      <c r="H28" s="11">
        <f>EXP(H27)/(1+EXP(H27))</f>
        <v>0.32422807147661792</v>
      </c>
      <c r="I28" s="11">
        <f>EXP(I27)/(1+EXP(I27))</f>
        <v>0.46963600365822805</v>
      </c>
      <c r="K28" s="11">
        <f>E28+B24*F8+B25*F12+B26*F11+B27*F8*F8+B28*F12*F12+B29*F13*F8+B30*F14*F8+B31*F12*F16</f>
        <v>-1.3666208321912447</v>
      </c>
    </row>
    <row r="29" spans="1:11" x14ac:dyDescent="0.55000000000000004">
      <c r="A29" s="11" t="s">
        <v>60</v>
      </c>
      <c r="B29" s="11">
        <v>0.42</v>
      </c>
      <c r="D29" s="11" t="s">
        <v>70</v>
      </c>
      <c r="E29" s="11">
        <v>0.71</v>
      </c>
    </row>
    <row r="30" spans="1:11" x14ac:dyDescent="0.55000000000000004">
      <c r="A30" s="11" t="s">
        <v>61</v>
      </c>
      <c r="B30" s="11">
        <v>0.43</v>
      </c>
      <c r="D30" s="11" t="s">
        <v>71</v>
      </c>
      <c r="E30" s="11">
        <v>0.56999999999999995</v>
      </c>
    </row>
    <row r="31" spans="1:11" x14ac:dyDescent="0.55000000000000004">
      <c r="A31" s="11" t="s">
        <v>62</v>
      </c>
      <c r="B31" s="11">
        <v>-0.16</v>
      </c>
    </row>
    <row r="32" spans="1:11" x14ac:dyDescent="0.55000000000000004">
      <c r="A32" s="11" t="s">
        <v>63</v>
      </c>
      <c r="B32" s="11">
        <v>-0.22</v>
      </c>
    </row>
    <row r="33" spans="1:2" x14ac:dyDescent="0.55000000000000004">
      <c r="A33" s="11" t="s">
        <v>64</v>
      </c>
      <c r="B33" s="11">
        <v>-0.38</v>
      </c>
    </row>
  </sheetData>
  <sheetProtection algorithmName="SHA-512" hashValue="hpK7gqnolnZoiH3LkmEbsEPsMNCJGDDHP51wKEFTVxSnHT1sIJkK6JlBNzlkB4Y7eHEk7puDzfpPwtS48c82Dw==" saltValue="0cPntDItGbfvmw5wGkYPSw==" spinCount="100000" sheet="1" objects="1" scenarios="1" selectLockedCells="1" selectUnlockedCells="1"/>
  <phoneticPr fontId="1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Input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2018-02-16T05:10:34Z</dcterms:modified>
</cp:coreProperties>
</file>